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0" yWindow="440" windowWidth="25600" windowHeight="15620" tabRatio="500" activeTab="2"/>
  </bookViews>
  <sheets>
    <sheet name="1) JE PREPARE" sheetId="1" r:id="rId1"/>
    <sheet name="2) JE PLANNIFIE" sheetId="2" r:id="rId2"/>
    <sheet name="3) JE BUDGETISE" sheetId="3" r:id="rId3"/>
  </sheets>
  <definedNames>
    <definedName name="_xlnm.Print_Area" localSheetId="0">'1) JE PREPARE'!$A$1:$I$35</definedName>
    <definedName name="_xlnm.Print_Area" localSheetId="1">'2) JE PLANNIFIE'!$A$1:$R$20</definedName>
    <definedName name="_xlnm.Print_Area" localSheetId="2">'3) JE BUDGETISE'!$A$1:$K$30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" l="1"/>
  <c r="H18" i="1"/>
  <c r="G18" i="1"/>
  <c r="F18" i="1"/>
  <c r="E18" i="1"/>
  <c r="D18" i="1"/>
  <c r="I18" i="1"/>
  <c r="D6" i="1"/>
  <c r="Q6" i="2"/>
  <c r="Q12" i="2"/>
  <c r="B9" i="3"/>
  <c r="B5" i="3"/>
  <c r="E5" i="3"/>
  <c r="E6" i="3"/>
  <c r="B7" i="3"/>
  <c r="E7" i="3"/>
  <c r="B8" i="3"/>
  <c r="E8" i="3"/>
  <c r="Q7" i="2"/>
  <c r="Q8" i="2"/>
  <c r="Q9" i="2"/>
  <c r="Q10" i="2"/>
  <c r="Q11" i="2"/>
  <c r="D9" i="3"/>
  <c r="E9" i="3"/>
  <c r="E10" i="3"/>
  <c r="E12" i="3"/>
  <c r="E14" i="3"/>
  <c r="B19" i="3"/>
  <c r="E19" i="3"/>
  <c r="E22" i="3"/>
  <c r="E24" i="3"/>
  <c r="E26" i="3"/>
  <c r="D12" i="1"/>
  <c r="H5" i="3"/>
  <c r="K5" i="3"/>
  <c r="H6" i="3"/>
  <c r="K6" i="3"/>
  <c r="H7" i="3"/>
  <c r="K7" i="3"/>
  <c r="K8" i="3"/>
  <c r="H9" i="3"/>
  <c r="K9" i="3"/>
  <c r="K10" i="3"/>
  <c r="K12" i="3"/>
  <c r="K14" i="3"/>
  <c r="H19" i="3"/>
  <c r="H20" i="3"/>
  <c r="H26" i="3"/>
  <c r="H28" i="3"/>
  <c r="I30" i="3"/>
  <c r="G30" i="3"/>
  <c r="H22" i="3"/>
  <c r="A30" i="3"/>
  <c r="I6" i="1"/>
  <c r="H24" i="3"/>
  <c r="H27" i="3"/>
  <c r="H23" i="3"/>
  <c r="H21" i="3"/>
  <c r="E21" i="3"/>
  <c r="G16" i="3"/>
  <c r="K13" i="3"/>
  <c r="E13" i="3"/>
  <c r="B17" i="2"/>
  <c r="K17" i="2"/>
  <c r="Q14" i="2"/>
  <c r="S11" i="2"/>
  <c r="A11" i="2"/>
  <c r="S10" i="2"/>
  <c r="A10" i="2"/>
  <c r="S9" i="2"/>
  <c r="A9" i="2"/>
  <c r="S8" i="2"/>
  <c r="A8" i="2"/>
  <c r="S7" i="2"/>
  <c r="A7" i="2"/>
  <c r="S6" i="2"/>
  <c r="A6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<sst xmlns="http://schemas.openxmlformats.org/spreadsheetml/2006/main" count="135" uniqueCount="117">
  <si>
    <t>PARAMETRAGE DE L'EVENEMENT</t>
  </si>
  <si>
    <t>DATES DE L'EVENEMENT</t>
  </si>
  <si>
    <t>HORAIRES DE L'EVENEMENT</t>
  </si>
  <si>
    <t>Date de début de l'évènement</t>
  </si>
  <si>
    <t>Heure d'ouverture</t>
  </si>
  <si>
    <t>Date de fin de l'évènement</t>
  </si>
  <si>
    <t>Heure de fermeture</t>
  </si>
  <si>
    <t>Durée de l'évènement en jours</t>
  </si>
  <si>
    <t>Durée d'une journée en heures</t>
  </si>
  <si>
    <t>BESOINS EN COMMERCIAUX</t>
  </si>
  <si>
    <t>CIBLAGE ET INVITATIONS</t>
  </si>
  <si>
    <t>Nombre de commerciaux présents sur le stand pendant l'évènement</t>
  </si>
  <si>
    <t>Nombre d'invitations à envoyer</t>
  </si>
  <si>
    <t>Pourcentage d'invités qui viendront</t>
  </si>
  <si>
    <t>Salaire Brut Mensuel d'un commercial</t>
  </si>
  <si>
    <t>Nombre de présents à l'évènement</t>
  </si>
  <si>
    <t>Objectif de ventes par Commercial/jour ?</t>
  </si>
  <si>
    <t>ORGANISATION DE L'AVANT EVENEMENT (GANTT)</t>
  </si>
  <si>
    <t>TACHES</t>
  </si>
  <si>
    <t>Détermination de la cible à partir du fichier</t>
  </si>
  <si>
    <t>Création du fichier des invitations</t>
  </si>
  <si>
    <t>Création du Google Forms d'inscription</t>
  </si>
  <si>
    <t>Création du Mail AIDA d'invitation</t>
  </si>
  <si>
    <t>Commande des invitations imprimées</t>
  </si>
  <si>
    <t>Création du Post et Boost sur les réseaux sociaux</t>
  </si>
  <si>
    <t>Envoie des invitations par courrier et mail</t>
  </si>
  <si>
    <t>Relance téléphonique pour confirmation</t>
  </si>
  <si>
    <t>Réservation du lieu</t>
  </si>
  <si>
    <t>Commande du matériel nécessaire</t>
  </si>
  <si>
    <t>Commande Traiteur</t>
  </si>
  <si>
    <t>Location camionette pour déplacer le stand</t>
  </si>
  <si>
    <t>Planning Commerciaux</t>
  </si>
  <si>
    <t>Préparation Goodies</t>
  </si>
  <si>
    <t>Souscription responsabilité civile (assurance)</t>
  </si>
  <si>
    <t>Bilan Evènement</t>
  </si>
  <si>
    <t>PLANNING D'UNE JOURNEE DURANT L'EVENEMENT</t>
  </si>
  <si>
    <t>REPAS</t>
  </si>
  <si>
    <t>COMMERCIAUX PRESENTS</t>
  </si>
  <si>
    <t>NBRE D'HEURES</t>
  </si>
  <si>
    <t>TOTAL HEURES PLANIFIEES</t>
  </si>
  <si>
    <t>COUT D'UNE HEURE PLANIFIEE</t>
  </si>
  <si>
    <t>(Salaire brut mensuel d'un commercial /151,67h)</t>
  </si>
  <si>
    <t>SOIT POUR</t>
  </si>
  <si>
    <t>JOURS UN TOTAL DE</t>
  </si>
  <si>
    <t>HEURES</t>
  </si>
  <si>
    <t>BUDGET EVENEMENT COMMERCIAL</t>
  </si>
  <si>
    <t>CHARGES FIXES (Indépendantes du nombre de participants)</t>
  </si>
  <si>
    <t>Qté</t>
  </si>
  <si>
    <t>Désignation</t>
  </si>
  <si>
    <t>Tarif à l'unité</t>
  </si>
  <si>
    <t>Montant TTC (Qté * Tarif)</t>
  </si>
  <si>
    <t>CHARGES VARIABLES (dépendantes du nombre de participants)</t>
  </si>
  <si>
    <t>Location de l'emplacement</t>
  </si>
  <si>
    <t>Jours de location</t>
  </si>
  <si>
    <t>lots de 30 Petits fours sucrés/salés</t>
  </si>
  <si>
    <t>invités présents</t>
  </si>
  <si>
    <t>Eléments de stands &amp; mobiliers divers</t>
  </si>
  <si>
    <t>Achat d'1 lot de : 3 tables hautes, 9 chaises hautes, 2 fauteuils de 2 places, une table basse, une pergola.</t>
  </si>
  <si>
    <t>Lots de goodies</t>
  </si>
  <si>
    <t>Location de camion (transport du stand)</t>
  </si>
  <si>
    <t>Agence Avis location à la journée</t>
  </si>
  <si>
    <t>Impression cartons invitations</t>
  </si>
  <si>
    <t>invitations pour les clients ciblés</t>
  </si>
  <si>
    <t>Assurance de l'événement</t>
  </si>
  <si>
    <t>Contrat assurance responsabilité civile à la journée</t>
  </si>
  <si>
    <t>Boost de l'annonce sur les réseaux sociaux selon le secteur géographique et les prospects ciblés</t>
  </si>
  <si>
    <t>jours de publications jusqu'au jour J</t>
  </si>
  <si>
    <t>Salaire des personnels présents</t>
  </si>
  <si>
    <t>tarif horaire pour les commerciaux plannifiés</t>
  </si>
  <si>
    <t>Publi-postage des cartons d'invitation (affranchissement)</t>
  </si>
  <si>
    <t>Envois aux clients ciblés</t>
  </si>
  <si>
    <t>Eléments Digitaux</t>
  </si>
  <si>
    <t>Un écran TV, un ordi fixe pour les vidéos,tablettes pour les commerciaux</t>
  </si>
  <si>
    <t>TOTAL TTC</t>
  </si>
  <si>
    <t>(CA TTC - CA HT)</t>
  </si>
  <si>
    <t>TVA 20%</t>
  </si>
  <si>
    <t>(CA TTC/1,2)</t>
  </si>
  <si>
    <t>TOTAL CF HT</t>
  </si>
  <si>
    <t>TOTAL CV HT</t>
  </si>
  <si>
    <t>COUT TOTAL DE L'EVENEMENT</t>
  </si>
  <si>
    <r>
      <rPr>
        <b/>
        <i/>
        <sz val="26"/>
        <color rgb="FF0000FF"/>
        <rFont val="Calibri"/>
      </rPr>
      <t>HT</t>
    </r>
  </si>
  <si>
    <t xml:space="preserve"> (TOTAL CF HT + TOTAL CV HT)</t>
  </si>
  <si>
    <t>VENTES PREVUES LORS DE L'EVENEMENT</t>
  </si>
  <si>
    <t>Taux de Marque</t>
  </si>
  <si>
    <t>Prix TTC</t>
  </si>
  <si>
    <t>Montant TTC (Qté * Prix TTC)</t>
  </si>
  <si>
    <t>RENTABILITE DE L'EVENEMENT</t>
  </si>
  <si>
    <t>Montant HT</t>
  </si>
  <si>
    <t>Vente de prévues</t>
  </si>
  <si>
    <t>Montant des coûts variables</t>
  </si>
  <si>
    <t>(Côuts d'achats + Charges Variables)</t>
  </si>
  <si>
    <t xml:space="preserve">Marge sur Coûts Variables </t>
  </si>
  <si>
    <t>(CA HT - Coûts Variables)</t>
  </si>
  <si>
    <t>Taux de Marge sur Coûts Variables</t>
  </si>
  <si>
    <t xml:space="preserve"> (MCV/CA HT)</t>
  </si>
  <si>
    <t>TOTAL CA HT</t>
  </si>
  <si>
    <t xml:space="preserve">Résultat </t>
  </si>
  <si>
    <t>(MCV - CF)</t>
  </si>
  <si>
    <t xml:space="preserve">Taux de Résultat </t>
  </si>
  <si>
    <t>(Resultat / CA HT)</t>
  </si>
  <si>
    <t>(CA HT * Tx de Mq)</t>
  </si>
  <si>
    <t>MARGE HT</t>
  </si>
  <si>
    <t>Durée totale, en heures d'ouvertures, de l'événement</t>
  </si>
  <si>
    <t>(CA HT - MARGE HT)</t>
  </si>
  <si>
    <t>COUT D'ACHATS</t>
  </si>
  <si>
    <t>Seuil de Rentabilité</t>
  </si>
  <si>
    <t>(CA*CF)/MCV</t>
  </si>
  <si>
    <t>Point mort en heures</t>
  </si>
  <si>
    <t>(SR/CA HT) * Durée</t>
  </si>
  <si>
    <t>Point mort en quantités vendues</t>
  </si>
  <si>
    <t>(SR/CA HT) * Qté ventes prévues</t>
  </si>
  <si>
    <t>HT DE RESULTAT POUR UN C.A. DE :</t>
  </si>
  <si>
    <t>TTC</t>
  </si>
  <si>
    <t>VENTES POUR ETRE RENTABLE</t>
  </si>
  <si>
    <r>
      <t>Montage du Stand</t>
    </r>
    <r>
      <rPr>
        <sz val="12"/>
        <color theme="1"/>
        <rFont val="Calibri"/>
        <family val="2"/>
        <scheme val="minor"/>
      </rPr>
      <t xml:space="preserve"> 1er jour Evnmt</t>
    </r>
  </si>
  <si>
    <t>Semaine N°</t>
  </si>
  <si>
    <t>Numéro de semaine de l'Evènement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</si>
</sst>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* #,##0.00_)\ &quot;€&quot;_ ;_ * \(#,##0.00\)\ &quot;€&quot;_ ;_ * &quot;-&quot;??_)\ &quot;€&quot;_ ;_ @_ "/>
    <numFmt numFmtId="43" formatCode="_ * #,##0.00_)\ _€_ ;_ * \(#,##0.00\)\ _€_ ;_ * &quot;-&quot;??_)\ _€_ ;_ @_ "/>
    <numFmt numFmtId="164" formatCode="dd/mm/yyyy"/>
    <numFmt numFmtId="165" formatCode="#,##0.00\ [$€-1]"/>
    <numFmt numFmtId="166" formatCode="_ * #,##0_)\ _€_ ;_ * \(#,##0\)\ _€_ ;_ * &quot;-&quot;??_)\ _€_ ;_ @_ "/>
  </numFmts>
  <fonts count="28" x14ac:knownFonts="1">
    <font>
      <sz val="12"/>
      <color theme="1"/>
      <name val="Calibri"/>
      <family val="2"/>
      <scheme val="minor"/>
    </font>
    <font>
      <b/>
      <i/>
      <sz val="24"/>
      <color rgb="FF0000FF"/>
      <name val="Calibri"/>
      <scheme val="minor"/>
    </font>
    <font>
      <sz val="12"/>
      <name val="Calibri"/>
    </font>
    <font>
      <sz val="12"/>
      <color rgb="FFFF0000"/>
      <name val="Calibri"/>
      <scheme val="minor"/>
    </font>
    <font>
      <sz val="12"/>
      <color theme="1"/>
      <name val="Calibri"/>
    </font>
    <font>
      <sz val="12"/>
      <color theme="1"/>
      <name val="Calibri"/>
      <scheme val="minor"/>
    </font>
    <font>
      <sz val="12"/>
      <color rgb="FF000000"/>
      <name val="Calibri"/>
      <scheme val="minor"/>
    </font>
    <font>
      <b/>
      <sz val="12"/>
      <color theme="1"/>
      <name val="Calibri"/>
      <scheme val="minor"/>
    </font>
    <font>
      <b/>
      <sz val="12"/>
      <color rgb="FFFF0000"/>
      <name val="Calibri"/>
      <scheme val="minor"/>
    </font>
    <font>
      <sz val="12"/>
      <color rgb="FFFFFFFF"/>
      <name val="Calibri"/>
      <scheme val="minor"/>
    </font>
    <font>
      <sz val="12"/>
      <color rgb="FFD9D9D9"/>
      <name val="Calibri"/>
      <scheme val="minor"/>
    </font>
    <font>
      <b/>
      <i/>
      <sz val="18"/>
      <color rgb="FF0000FF"/>
      <name val="Calibri"/>
      <scheme val="minor"/>
    </font>
    <font>
      <b/>
      <i/>
      <sz val="36"/>
      <color rgb="FF0000FF"/>
      <name val="Calibri"/>
    </font>
    <font>
      <b/>
      <sz val="12"/>
      <color rgb="FFFF0000"/>
      <name val="Calibri"/>
    </font>
    <font>
      <b/>
      <sz val="12"/>
      <color theme="1"/>
      <name val="Calibri"/>
    </font>
    <font>
      <sz val="12"/>
      <color rgb="FFBFBFBF"/>
      <name val="Calibri"/>
    </font>
    <font>
      <i/>
      <sz val="12"/>
      <color rgb="FF0000FF"/>
      <name val="Calibri"/>
    </font>
    <font>
      <b/>
      <i/>
      <sz val="26"/>
      <color rgb="FF0000FF"/>
      <name val="Calibri"/>
    </font>
    <font>
      <i/>
      <sz val="20"/>
      <color rgb="FF0000FF"/>
      <name val="Calibri"/>
    </font>
    <font>
      <sz val="20"/>
      <color rgb="FFBFBFBF"/>
      <name val="Calibri"/>
    </font>
    <font>
      <sz val="20"/>
      <color rgb="FF0000FF"/>
      <name val="Calibri"/>
    </font>
    <font>
      <b/>
      <sz val="14"/>
      <color rgb="FF0000FF"/>
      <name val="Calibri"/>
    </font>
    <font>
      <b/>
      <i/>
      <sz val="20"/>
      <color rgb="FF0000FF"/>
      <name val="Calibri"/>
    </font>
    <font>
      <b/>
      <i/>
      <sz val="12"/>
      <color rgb="FF0000FF"/>
      <name val="Calibri"/>
    </font>
    <font>
      <sz val="12"/>
      <color rgb="FF0000FF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FEFEF"/>
      </patternFill>
    </fill>
  </fills>
  <borders count="44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56">
    <xf numFmtId="0" fontId="0" fillId="0" borderId="0" xfId="0" applyFont="1" applyAlignment="1"/>
    <xf numFmtId="0" fontId="5" fillId="0" borderId="5" xfId="0" applyFont="1" applyBorder="1" applyAlignment="1"/>
    <xf numFmtId="0" fontId="8" fillId="4" borderId="5" xfId="0" applyFont="1" applyFill="1" applyBorder="1"/>
    <xf numFmtId="0" fontId="5" fillId="5" borderId="5" xfId="0" applyFont="1" applyFill="1" applyBorder="1" applyAlignment="1"/>
    <xf numFmtId="0" fontId="5" fillId="0" borderId="5" xfId="0" applyFont="1" applyBorder="1"/>
    <xf numFmtId="0" fontId="5" fillId="0" borderId="0" xfId="0" applyFont="1" applyAlignment="1"/>
    <xf numFmtId="0" fontId="3" fillId="2" borderId="17" xfId="0" applyFont="1" applyFill="1" applyBorder="1" applyAlignment="1">
      <alignment horizontal="center"/>
    </xf>
    <xf numFmtId="0" fontId="5" fillId="5" borderId="4" xfId="0" applyFont="1" applyFill="1" applyBorder="1" applyAlignment="1"/>
    <xf numFmtId="0" fontId="7" fillId="5" borderId="5" xfId="0" applyFont="1" applyFill="1" applyBorder="1" applyAlignment="1"/>
    <xf numFmtId="0" fontId="5" fillId="2" borderId="5" xfId="0" applyFont="1" applyFill="1" applyBorder="1" applyAlignment="1"/>
    <xf numFmtId="0" fontId="5" fillId="0" borderId="13" xfId="0" applyFont="1" applyBorder="1" applyAlignment="1"/>
    <xf numFmtId="0" fontId="5" fillId="0" borderId="5" xfId="0" applyFont="1" applyBorder="1"/>
    <xf numFmtId="0" fontId="3" fillId="0" borderId="0" xfId="0" applyFont="1"/>
    <xf numFmtId="0" fontId="5" fillId="0" borderId="5" xfId="0" applyFont="1" applyBorder="1" applyAlignment="1"/>
    <xf numFmtId="0" fontId="5" fillId="0" borderId="9" xfId="0" applyFont="1" applyBorder="1"/>
    <xf numFmtId="0" fontId="5" fillId="5" borderId="0" xfId="0" applyFont="1" applyFill="1"/>
    <xf numFmtId="0" fontId="8" fillId="2" borderId="23" xfId="0" applyFont="1" applyFill="1" applyBorder="1"/>
    <xf numFmtId="165" fontId="8" fillId="6" borderId="23" xfId="0" applyNumberFormat="1" applyFont="1" applyFill="1" applyBorder="1"/>
    <xf numFmtId="0" fontId="10" fillId="0" borderId="0" xfId="0" applyFont="1" applyAlignment="1"/>
    <xf numFmtId="0" fontId="11" fillId="2" borderId="1" xfId="0" applyFont="1" applyFill="1" applyBorder="1" applyAlignment="1">
      <alignment horizontal="right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left"/>
    </xf>
    <xf numFmtId="0" fontId="13" fillId="9" borderId="26" xfId="0" applyFont="1" applyFill="1" applyBorder="1" applyAlignment="1">
      <alignment horizontal="center" vertical="center" wrapText="1"/>
    </xf>
    <xf numFmtId="0" fontId="14" fillId="10" borderId="27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4" fillId="10" borderId="28" xfId="0" applyFont="1" applyFill="1" applyBorder="1" applyAlignment="1">
      <alignment vertical="top" wrapText="1"/>
    </xf>
    <xf numFmtId="0" fontId="4" fillId="5" borderId="5" xfId="0" applyFont="1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44" fontId="4" fillId="0" borderId="5" xfId="0" applyNumberFormat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10" borderId="5" xfId="0" applyFont="1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44" fontId="4" fillId="5" borderId="5" xfId="0" applyNumberFormat="1" applyFont="1" applyFill="1" applyBorder="1" applyAlignment="1">
      <alignment vertical="top" wrapText="1"/>
    </xf>
    <xf numFmtId="0" fontId="4" fillId="9" borderId="29" xfId="0" applyFont="1" applyFill="1" applyBorder="1"/>
    <xf numFmtId="44" fontId="4" fillId="9" borderId="30" xfId="0" applyNumberFormat="1" applyFont="1" applyFill="1" applyBorder="1"/>
    <xf numFmtId="0" fontId="15" fillId="0" borderId="0" xfId="0" applyFont="1" applyAlignment="1">
      <alignment horizontal="right"/>
    </xf>
    <xf numFmtId="0" fontId="4" fillId="9" borderId="18" xfId="0" applyFont="1" applyFill="1" applyBorder="1"/>
    <xf numFmtId="44" fontId="4" fillId="9" borderId="19" xfId="0" applyNumberFormat="1" applyFont="1" applyFill="1" applyBorder="1"/>
    <xf numFmtId="0" fontId="15" fillId="0" borderId="0" xfId="0" applyFont="1" applyAlignment="1">
      <alignment horizontal="right" vertical="top" wrapText="1"/>
    </xf>
    <xf numFmtId="0" fontId="13" fillId="9" borderId="20" xfId="0" applyFont="1" applyFill="1" applyBorder="1"/>
    <xf numFmtId="44" fontId="13" fillId="9" borderId="21" xfId="0" applyNumberFormat="1" applyFont="1" applyFill="1" applyBorder="1"/>
    <xf numFmtId="0" fontId="16" fillId="9" borderId="31" xfId="0" applyFont="1" applyFill="1" applyBorder="1"/>
    <xf numFmtId="44" fontId="17" fillId="9" borderId="31" xfId="0" applyNumberFormat="1" applyFont="1" applyFill="1" applyBorder="1"/>
    <xf numFmtId="0" fontId="18" fillId="9" borderId="31" xfId="0" applyFont="1" applyFill="1" applyBorder="1"/>
    <xf numFmtId="0" fontId="19" fillId="9" borderId="31" xfId="0" applyFont="1" applyFill="1" applyBorder="1"/>
    <xf numFmtId="0" fontId="20" fillId="9" borderId="31" xfId="0" applyFont="1" applyFill="1" applyBorder="1"/>
    <xf numFmtId="0" fontId="15" fillId="0" borderId="0" xfId="0" applyFont="1"/>
    <xf numFmtId="0" fontId="4" fillId="9" borderId="29" xfId="0" applyFont="1" applyFill="1" applyBorder="1" applyAlignment="1">
      <alignment vertical="top" wrapText="1"/>
    </xf>
    <xf numFmtId="44" fontId="4" fillId="9" borderId="30" xfId="0" applyNumberFormat="1" applyFont="1" applyFill="1" applyBorder="1" applyAlignment="1">
      <alignment vertical="top" wrapText="1"/>
    </xf>
    <xf numFmtId="10" fontId="4" fillId="0" borderId="5" xfId="0" applyNumberFormat="1" applyFont="1" applyBorder="1" applyAlignment="1">
      <alignment vertical="top" wrapText="1"/>
    </xf>
    <xf numFmtId="0" fontId="13" fillId="9" borderId="20" xfId="0" applyFont="1" applyFill="1" applyBorder="1" applyAlignment="1">
      <alignment vertical="top" wrapText="1"/>
    </xf>
    <xf numFmtId="44" fontId="13" fillId="9" borderId="21" xfId="0" applyNumberFormat="1" applyFont="1" applyFill="1" applyBorder="1" applyAlignment="1">
      <alignment vertical="top" wrapText="1"/>
    </xf>
    <xf numFmtId="0" fontId="13" fillId="10" borderId="5" xfId="0" applyFont="1" applyFill="1" applyBorder="1" applyAlignment="1">
      <alignment vertical="top" wrapText="1"/>
    </xf>
    <xf numFmtId="44" fontId="13" fillId="0" borderId="5" xfId="0" applyNumberFormat="1" applyFont="1" applyBorder="1" applyAlignment="1">
      <alignment vertical="top" wrapText="1"/>
    </xf>
    <xf numFmtId="0" fontId="21" fillId="9" borderId="5" xfId="0" applyFont="1" applyFill="1" applyBorder="1" applyAlignment="1">
      <alignment horizontal="center" vertical="center" wrapText="1"/>
    </xf>
    <xf numFmtId="44" fontId="21" fillId="9" borderId="5" xfId="0" applyNumberFormat="1" applyFont="1" applyFill="1" applyBorder="1" applyAlignment="1">
      <alignment vertical="center" wrapText="1"/>
    </xf>
    <xf numFmtId="0" fontId="13" fillId="9" borderId="32" xfId="0" applyFont="1" applyFill="1" applyBorder="1"/>
    <xf numFmtId="44" fontId="13" fillId="9" borderId="33" xfId="0" applyNumberFormat="1" applyFont="1" applyFill="1" applyBorder="1"/>
    <xf numFmtId="0" fontId="13" fillId="9" borderId="29" xfId="0" applyFont="1" applyFill="1" applyBorder="1"/>
    <xf numFmtId="44" fontId="14" fillId="9" borderId="30" xfId="0" applyNumberFormat="1" applyFont="1" applyFill="1" applyBorder="1"/>
    <xf numFmtId="0" fontId="13" fillId="9" borderId="18" xfId="0" applyFont="1" applyFill="1" applyBorder="1"/>
    <xf numFmtId="43" fontId="14" fillId="9" borderId="19" xfId="0" applyNumberFormat="1" applyFont="1" applyFill="1" applyBorder="1"/>
    <xf numFmtId="166" fontId="14" fillId="9" borderId="21" xfId="0" applyNumberFormat="1" applyFont="1" applyFill="1" applyBorder="1"/>
    <xf numFmtId="0" fontId="17" fillId="9" borderId="31" xfId="0" applyFont="1" applyFill="1" applyBorder="1" applyAlignment="1">
      <alignment horizontal="left" vertical="center" wrapText="1"/>
    </xf>
    <xf numFmtId="166" fontId="22" fillId="9" borderId="31" xfId="0" applyNumberFormat="1" applyFont="1" applyFill="1" applyBorder="1" applyAlignment="1">
      <alignment horizontal="left"/>
    </xf>
    <xf numFmtId="0" fontId="23" fillId="9" borderId="31" xfId="0" applyFont="1" applyFill="1" applyBorder="1"/>
    <xf numFmtId="0" fontId="24" fillId="0" borderId="0" xfId="0" applyFont="1" applyAlignment="1">
      <alignment horizontal="right"/>
    </xf>
    <xf numFmtId="44" fontId="24" fillId="0" borderId="0" xfId="0" applyNumberFormat="1" applyFont="1"/>
    <xf numFmtId="0" fontId="24" fillId="0" borderId="0" xfId="0" applyFont="1"/>
    <xf numFmtId="164" fontId="5" fillId="3" borderId="5" xfId="0" applyNumberFormat="1" applyFont="1" applyFill="1" applyBorder="1" applyAlignment="1" applyProtection="1">
      <protection locked="0"/>
    </xf>
    <xf numFmtId="0" fontId="5" fillId="3" borderId="5" xfId="0" applyFont="1" applyFill="1" applyBorder="1" applyAlignment="1" applyProtection="1">
      <protection locked="0"/>
    </xf>
    <xf numFmtId="9" fontId="5" fillId="11" borderId="5" xfId="0" applyNumberFormat="1" applyFont="1" applyFill="1" applyBorder="1" applyAlignment="1" applyProtection="1">
      <protection locked="0"/>
    </xf>
    <xf numFmtId="0" fontId="6" fillId="11" borderId="5" xfId="0" applyFont="1" applyFill="1" applyBorder="1" applyAlignment="1" applyProtection="1">
      <protection locked="0"/>
    </xf>
    <xf numFmtId="0" fontId="5" fillId="11" borderId="5" xfId="0" applyFont="1" applyFill="1" applyBorder="1" applyAlignment="1" applyProtection="1">
      <protection locked="0"/>
    </xf>
    <xf numFmtId="0" fontId="5" fillId="12" borderId="5" xfId="0" applyFont="1" applyFill="1" applyBorder="1" applyAlignment="1" applyProtection="1">
      <protection locked="0"/>
    </xf>
    <xf numFmtId="0" fontId="5" fillId="3" borderId="5" xfId="0" applyFont="1" applyFill="1" applyBorder="1" applyProtection="1">
      <protection locked="0"/>
    </xf>
    <xf numFmtId="0" fontId="5" fillId="7" borderId="5" xfId="0" applyFont="1" applyFill="1" applyBorder="1" applyProtection="1">
      <protection locked="0"/>
    </xf>
    <xf numFmtId="0" fontId="2" fillId="0" borderId="0" xfId="0" applyFont="1" applyBorder="1"/>
    <xf numFmtId="0" fontId="1" fillId="0" borderId="0" xfId="0" applyFont="1" applyFill="1" applyBorder="1" applyAlignment="1">
      <alignment horizontal="center"/>
    </xf>
    <xf numFmtId="0" fontId="5" fillId="7" borderId="28" xfId="0" applyFont="1" applyFill="1" applyBorder="1" applyProtection="1">
      <protection locked="0"/>
    </xf>
    <xf numFmtId="0" fontId="5" fillId="3" borderId="28" xfId="0" applyFont="1" applyFill="1" applyBorder="1" applyProtection="1">
      <protection locked="0"/>
    </xf>
    <xf numFmtId="0" fontId="0" fillId="13" borderId="34" xfId="0" applyFont="1" applyFill="1" applyBorder="1" applyAlignment="1">
      <alignment horizontal="center"/>
    </xf>
    <xf numFmtId="0" fontId="5" fillId="14" borderId="35" xfId="0" applyFont="1" applyFill="1" applyBorder="1" applyAlignment="1" applyProtection="1">
      <alignment horizontal="center"/>
    </xf>
    <xf numFmtId="0" fontId="0" fillId="13" borderId="36" xfId="0" applyFont="1" applyFill="1" applyBorder="1" applyAlignment="1">
      <alignment horizontal="center"/>
    </xf>
    <xf numFmtId="0" fontId="5" fillId="14" borderId="37" xfId="0" applyFont="1" applyFill="1" applyBorder="1" applyAlignment="1" applyProtection="1">
      <alignment horizontal="center"/>
    </xf>
    <xf numFmtId="0" fontId="7" fillId="13" borderId="36" xfId="0" applyFont="1" applyFill="1" applyBorder="1" applyAlignment="1">
      <alignment horizontal="center"/>
    </xf>
    <xf numFmtId="0" fontId="7" fillId="14" borderId="37" xfId="0" applyFont="1" applyFill="1" applyBorder="1" applyAlignment="1" applyProtection="1">
      <alignment horizontal="center"/>
    </xf>
    <xf numFmtId="0" fontId="3" fillId="13" borderId="0" xfId="0" applyFont="1" applyFill="1" applyAlignment="1"/>
    <xf numFmtId="0" fontId="5" fillId="7" borderId="5" xfId="0" applyFont="1" applyFill="1" applyBorder="1" applyAlignment="1" applyProtection="1">
      <protection locked="0"/>
    </xf>
    <xf numFmtId="0" fontId="5" fillId="7" borderId="2" xfId="0" applyFont="1" applyFill="1" applyBorder="1" applyAlignment="1" applyProtection="1">
      <protection locked="0"/>
    </xf>
    <xf numFmtId="0" fontId="7" fillId="7" borderId="18" xfId="0" applyFont="1" applyFill="1" applyBorder="1" applyAlignment="1" applyProtection="1">
      <protection locked="0"/>
    </xf>
    <xf numFmtId="0" fontId="7" fillId="7" borderId="19" xfId="0" applyFont="1" applyFill="1" applyBorder="1" applyProtection="1">
      <protection locked="0"/>
    </xf>
    <xf numFmtId="0" fontId="5" fillId="7" borderId="4" xfId="0" applyFont="1" applyFill="1" applyBorder="1" applyAlignment="1" applyProtection="1">
      <protection locked="0"/>
    </xf>
    <xf numFmtId="0" fontId="5" fillId="3" borderId="2" xfId="0" applyFont="1" applyFill="1" applyBorder="1" applyAlignment="1" applyProtection="1">
      <protection locked="0"/>
    </xf>
    <xf numFmtId="0" fontId="7" fillId="3" borderId="18" xfId="0" applyFont="1" applyFill="1" applyBorder="1" applyProtection="1">
      <protection locked="0"/>
    </xf>
    <xf numFmtId="0" fontId="7" fillId="3" borderId="19" xfId="0" applyFont="1" applyFill="1" applyBorder="1" applyAlignment="1" applyProtection="1">
      <protection locked="0"/>
    </xf>
    <xf numFmtId="0" fontId="5" fillId="3" borderId="4" xfId="0" applyFont="1" applyFill="1" applyBorder="1" applyAlignment="1" applyProtection="1">
      <protection locked="0"/>
    </xf>
    <xf numFmtId="0" fontId="5" fillId="7" borderId="2" xfId="0" applyFont="1" applyFill="1" applyBorder="1" applyProtection="1">
      <protection locked="0"/>
    </xf>
    <xf numFmtId="0" fontId="7" fillId="7" borderId="19" xfId="0" applyFont="1" applyFill="1" applyBorder="1" applyAlignment="1" applyProtection="1">
      <protection locked="0"/>
    </xf>
    <xf numFmtId="0" fontId="5" fillId="3" borderId="2" xfId="0" applyFont="1" applyFill="1" applyBorder="1" applyProtection="1">
      <protection locked="0"/>
    </xf>
    <xf numFmtId="0" fontId="7" fillId="3" borderId="19" xfId="0" applyFon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0" fontId="7" fillId="7" borderId="18" xfId="0" applyFont="1" applyFill="1" applyBorder="1" applyProtection="1">
      <protection locked="0"/>
    </xf>
    <xf numFmtId="0" fontId="5" fillId="7" borderId="4" xfId="0" applyFont="1" applyFill="1" applyBorder="1" applyProtection="1">
      <protection locked="0"/>
    </xf>
    <xf numFmtId="0" fontId="7" fillId="3" borderId="20" xfId="0" applyFont="1" applyFill="1" applyBorder="1" applyProtection="1">
      <protection locked="0"/>
    </xf>
    <xf numFmtId="0" fontId="7" fillId="3" borderId="21" xfId="0" applyFont="1" applyFill="1" applyBorder="1" applyProtection="1">
      <protection locked="0"/>
    </xf>
    <xf numFmtId="0" fontId="5" fillId="3" borderId="9" xfId="0" applyFont="1" applyFill="1" applyBorder="1" applyProtection="1">
      <protection locked="0"/>
    </xf>
    <xf numFmtId="44" fontId="4" fillId="3" borderId="5" xfId="0" applyNumberFormat="1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vertical="top" wrapText="1"/>
      <protection locked="0"/>
    </xf>
    <xf numFmtId="9" fontId="4" fillId="3" borderId="5" xfId="0" applyNumberFormat="1" applyFont="1" applyFill="1" applyBorder="1" applyAlignment="1" applyProtection="1">
      <alignment vertical="top" wrapText="1"/>
      <protection locked="0"/>
    </xf>
    <xf numFmtId="0" fontId="0" fillId="13" borderId="7" xfId="0" applyFont="1" applyFill="1" applyBorder="1" applyAlignment="1">
      <alignment horizontal="center"/>
    </xf>
    <xf numFmtId="0" fontId="0" fillId="0" borderId="2" xfId="0" applyFont="1" applyBorder="1" applyAlignment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5" fillId="0" borderId="2" xfId="0" applyFont="1" applyBorder="1" applyAlignment="1" applyProtection="1">
      <protection locked="0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5" fillId="0" borderId="10" xfId="0" applyFont="1" applyBorder="1" applyAlignment="1" applyProtection="1"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8" fillId="6" borderId="38" xfId="0" applyFont="1" applyFill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/>
    </xf>
    <xf numFmtId="0" fontId="8" fillId="6" borderId="40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/>
    </xf>
    <xf numFmtId="0" fontId="8" fillId="6" borderId="42" xfId="0" applyFont="1" applyFill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5" fillId="0" borderId="2" xfId="0" applyFont="1" applyBorder="1" applyAlignment="1"/>
    <xf numFmtId="0" fontId="7" fillId="4" borderId="2" xfId="0" applyFont="1" applyFill="1" applyBorder="1" applyAlignment="1"/>
    <xf numFmtId="0" fontId="5" fillId="0" borderId="6" xfId="0" applyFont="1" applyBorder="1" applyAlignment="1">
      <alignment wrapText="1"/>
    </xf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5" fillId="12" borderId="9" xfId="0" applyFont="1" applyFill="1" applyBorder="1" applyAlignment="1" applyProtection="1">
      <alignment horizontal="center" vertical="center"/>
      <protection locked="0"/>
    </xf>
    <xf numFmtId="0" fontId="2" fillId="11" borderId="13" xfId="0" applyFont="1" applyFill="1" applyBorder="1" applyProtection="1">
      <protection locked="0"/>
    </xf>
    <xf numFmtId="0" fontId="4" fillId="0" borderId="2" xfId="0" applyFont="1" applyBorder="1" applyAlignment="1">
      <alignment horizontal="left"/>
    </xf>
    <xf numFmtId="0" fontId="9" fillId="8" borderId="15" xfId="0" applyFont="1" applyFill="1" applyBorder="1" applyAlignment="1">
      <alignment horizontal="center"/>
    </xf>
    <xf numFmtId="0" fontId="2" fillId="0" borderId="16" xfId="0" applyFont="1" applyBorder="1"/>
    <xf numFmtId="0" fontId="8" fillId="2" borderId="22" xfId="0" applyFont="1" applyFill="1" applyBorder="1" applyAlignment="1">
      <alignment horizontal="right"/>
    </xf>
    <xf numFmtId="0" fontId="2" fillId="7" borderId="1" xfId="0" applyFont="1" applyFill="1" applyBorder="1"/>
    <xf numFmtId="0" fontId="8" fillId="6" borderId="22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/>
    <xf numFmtId="0" fontId="12" fillId="9" borderId="24" xfId="0" applyFont="1" applyFill="1" applyBorder="1" applyAlignment="1">
      <alignment horizontal="center"/>
    </xf>
    <xf numFmtId="0" fontId="2" fillId="0" borderId="14" xfId="0" applyFont="1" applyBorder="1"/>
    <xf numFmtId="0" fontId="2" fillId="0" borderId="25" xfId="0" applyFont="1" applyBorder="1"/>
    <xf numFmtId="0" fontId="17" fillId="9" borderId="24" xfId="0" applyFont="1" applyFill="1" applyBorder="1" applyAlignment="1">
      <alignment horizontal="right"/>
    </xf>
    <xf numFmtId="44" fontId="17" fillId="9" borderId="24" xfId="0" applyNumberFormat="1" applyFont="1" applyFill="1" applyBorder="1" applyAlignment="1">
      <alignment horizontal="center"/>
    </xf>
    <xf numFmtId="0" fontId="17" fillId="9" borderId="24" xfId="0" applyFont="1" applyFill="1" applyBorder="1" applyAlignment="1">
      <alignment horizontal="left"/>
    </xf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5">
    <dxf>
      <fill>
        <patternFill patternType="solid">
          <fgColor rgb="FFCCCCCC"/>
          <bgColor rgb="FFCCCC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2" defaultPivotStyle="PivotStyleMedium4">
    <tableStyle name="2) JE PLANNIFIE-style" pivot="0" count="2">
      <tableStyleElement type="firstRowStripe" dxfId="4"/>
      <tableStyleElement type="secondRowStripe" dxfId="3"/>
    </tableStyle>
    <tableStyle name="2) JE PLANNIFIE-style 2" pivot="0" count="2">
      <tableStyleElement type="firstRowStripe" dxfId="2"/>
      <tableStyleElement type="secondRowStripe" dxfId="1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Table_1" displayName="Table_1" ref="A6:A11" headerRowCount="0">
  <tableColumns count="1">
    <tableColumn id="1" name="Column1"/>
  </tableColumns>
  <tableStyleInfo name="2) JE PLANNIFIE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Q6:Q11" headerRowCount="0">
  <tableColumns count="1">
    <tableColumn id="1" name="Column1"/>
  </tableColumns>
  <tableStyleInfo name="2) JE PLANNIFIE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3"/>
  <sheetViews>
    <sheetView showGridLines="0" workbookViewId="0">
      <selection activeCell="D4" sqref="D4"/>
    </sheetView>
  </sheetViews>
  <sheetFormatPr baseColWidth="10" defaultColWidth="11.1640625" defaultRowHeight="15" customHeight="1" x14ac:dyDescent="0"/>
  <cols>
    <col min="1" max="1" width="10.83203125" customWidth="1"/>
    <col min="2" max="26" width="10.5" customWidth="1"/>
  </cols>
  <sheetData>
    <row r="1" spans="1:9" ht="30">
      <c r="A1" s="118" t="s">
        <v>0</v>
      </c>
      <c r="B1" s="119"/>
      <c r="C1" s="119"/>
      <c r="D1" s="119"/>
      <c r="E1" s="119"/>
      <c r="F1" s="119"/>
      <c r="G1" s="119"/>
      <c r="H1" s="119"/>
      <c r="I1" s="119"/>
    </row>
    <row r="3" spans="1:9">
      <c r="A3" s="129" t="s">
        <v>1</v>
      </c>
      <c r="B3" s="130"/>
      <c r="C3" s="130"/>
      <c r="D3" s="131"/>
      <c r="F3" s="129" t="s">
        <v>2</v>
      </c>
      <c r="G3" s="130"/>
      <c r="H3" s="130"/>
      <c r="I3" s="131"/>
    </row>
    <row r="4" spans="1:9">
      <c r="A4" s="142" t="s">
        <v>3</v>
      </c>
      <c r="B4" s="130"/>
      <c r="C4" s="131"/>
      <c r="D4" s="72">
        <v>44998</v>
      </c>
      <c r="F4" s="142" t="s">
        <v>4</v>
      </c>
      <c r="G4" s="130"/>
      <c r="H4" s="131"/>
      <c r="I4" s="75">
        <v>10</v>
      </c>
    </row>
    <row r="5" spans="1:9">
      <c r="A5" s="132" t="s">
        <v>5</v>
      </c>
      <c r="B5" s="130"/>
      <c r="C5" s="131"/>
      <c r="D5" s="72">
        <v>45003</v>
      </c>
      <c r="F5" s="142" t="s">
        <v>6</v>
      </c>
      <c r="G5" s="130"/>
      <c r="H5" s="131"/>
      <c r="I5" s="76">
        <v>18</v>
      </c>
    </row>
    <row r="6" spans="1:9">
      <c r="A6" s="133" t="s">
        <v>7</v>
      </c>
      <c r="B6" s="130"/>
      <c r="C6" s="131"/>
      <c r="D6" s="2">
        <f>NETWORKDAYS(D4,D5)</f>
        <v>5</v>
      </c>
      <c r="F6" s="133" t="s">
        <v>8</v>
      </c>
      <c r="G6" s="130"/>
      <c r="H6" s="131"/>
      <c r="I6" s="2">
        <f>I5-I4</f>
        <v>8</v>
      </c>
    </row>
    <row r="7" spans="1:9" ht="15" customHeight="1">
      <c r="A7" s="113" t="s">
        <v>116</v>
      </c>
      <c r="B7" s="113"/>
      <c r="C7" s="113"/>
      <c r="D7" s="90">
        <f>WEEKNUM(D5)</f>
        <v>11</v>
      </c>
    </row>
    <row r="8" spans="1:9">
      <c r="F8" s="129" t="s">
        <v>9</v>
      </c>
      <c r="G8" s="130"/>
      <c r="H8" s="130"/>
      <c r="I8" s="131"/>
    </row>
    <row r="9" spans="1:9">
      <c r="A9" s="129" t="s">
        <v>10</v>
      </c>
      <c r="B9" s="130"/>
      <c r="C9" s="130"/>
      <c r="D9" s="131"/>
      <c r="F9" s="134" t="s">
        <v>11</v>
      </c>
      <c r="G9" s="135"/>
      <c r="H9" s="136"/>
      <c r="I9" s="140">
        <v>3</v>
      </c>
    </row>
    <row r="10" spans="1:9">
      <c r="A10" s="132" t="s">
        <v>12</v>
      </c>
      <c r="B10" s="130"/>
      <c r="C10" s="131"/>
      <c r="D10" s="73">
        <v>300</v>
      </c>
      <c r="F10" s="137"/>
      <c r="G10" s="138"/>
      <c r="H10" s="139"/>
      <c r="I10" s="141"/>
    </row>
    <row r="11" spans="1:9">
      <c r="A11" s="132" t="s">
        <v>13</v>
      </c>
      <c r="B11" s="130"/>
      <c r="C11" s="131"/>
      <c r="D11" s="74">
        <v>0.4</v>
      </c>
      <c r="F11" s="132" t="s">
        <v>14</v>
      </c>
      <c r="G11" s="130"/>
      <c r="H11" s="131"/>
      <c r="I11" s="77">
        <v>2200</v>
      </c>
    </row>
    <row r="12" spans="1:9">
      <c r="A12" s="133" t="s">
        <v>15</v>
      </c>
      <c r="B12" s="130"/>
      <c r="C12" s="131"/>
      <c r="D12" s="2">
        <f>D11*D10</f>
        <v>120</v>
      </c>
      <c r="F12" s="1" t="s">
        <v>16</v>
      </c>
      <c r="G12" s="4"/>
      <c r="H12" s="4"/>
      <c r="I12" s="76">
        <v>6</v>
      </c>
    </row>
    <row r="15" spans="1:9" ht="30">
      <c r="A15" s="118" t="s">
        <v>17</v>
      </c>
      <c r="B15" s="119"/>
      <c r="C15" s="119"/>
      <c r="D15" s="119"/>
      <c r="E15" s="119"/>
      <c r="F15" s="119"/>
      <c r="G15" s="119"/>
      <c r="H15" s="119"/>
      <c r="I15" s="119"/>
    </row>
    <row r="16" spans="1:9" ht="31" thickBot="1">
      <c r="A16" s="81"/>
      <c r="B16" s="80"/>
      <c r="C16" s="80"/>
      <c r="D16" s="80"/>
      <c r="E16" s="80"/>
      <c r="F16" s="80"/>
      <c r="G16" s="80"/>
      <c r="H16" s="80"/>
      <c r="I16" s="80"/>
    </row>
    <row r="17" spans="1:9" ht="15" customHeight="1">
      <c r="A17" s="123" t="s">
        <v>18</v>
      </c>
      <c r="B17" s="124"/>
      <c r="C17" s="125"/>
      <c r="D17" s="84" t="s">
        <v>115</v>
      </c>
      <c r="E17" s="86" t="s">
        <v>115</v>
      </c>
      <c r="F17" s="86" t="s">
        <v>115</v>
      </c>
      <c r="G17" s="86" t="s">
        <v>115</v>
      </c>
      <c r="H17" s="88" t="s">
        <v>115</v>
      </c>
      <c r="I17" s="86" t="s">
        <v>115</v>
      </c>
    </row>
    <row r="18" spans="1:9" ht="16" thickBot="1">
      <c r="A18" s="126"/>
      <c r="B18" s="127"/>
      <c r="C18" s="128"/>
      <c r="D18" s="85">
        <f>E18-1</f>
        <v>7</v>
      </c>
      <c r="E18" s="87">
        <f>F18-1</f>
        <v>8</v>
      </c>
      <c r="F18" s="87">
        <f>G18-1</f>
        <v>9</v>
      </c>
      <c r="G18" s="87">
        <f>H18-1</f>
        <v>10</v>
      </c>
      <c r="H18" s="89">
        <f>WEEKNUM(D5)</f>
        <v>11</v>
      </c>
      <c r="I18" s="87">
        <f>H18+1</f>
        <v>12</v>
      </c>
    </row>
    <row r="19" spans="1:9">
      <c r="A19" s="120" t="s">
        <v>19</v>
      </c>
      <c r="B19" s="121"/>
      <c r="C19" s="122"/>
      <c r="D19" s="83"/>
      <c r="E19" s="82"/>
      <c r="F19" s="82"/>
      <c r="G19" s="82"/>
      <c r="H19" s="82"/>
      <c r="I19" s="82"/>
    </row>
    <row r="20" spans="1:9">
      <c r="A20" s="117" t="s">
        <v>20</v>
      </c>
      <c r="B20" s="115"/>
      <c r="C20" s="116"/>
      <c r="D20" s="78"/>
      <c r="E20" s="79"/>
      <c r="F20" s="79"/>
      <c r="G20" s="79"/>
      <c r="H20" s="79"/>
      <c r="I20" s="79"/>
    </row>
    <row r="21" spans="1:9">
      <c r="A21" s="117" t="s">
        <v>21</v>
      </c>
      <c r="B21" s="115"/>
      <c r="C21" s="116"/>
      <c r="D21" s="78"/>
      <c r="E21" s="79"/>
      <c r="F21" s="79"/>
      <c r="G21" s="79"/>
      <c r="H21" s="79"/>
      <c r="I21" s="79"/>
    </row>
    <row r="22" spans="1:9">
      <c r="A22" s="117" t="s">
        <v>22</v>
      </c>
      <c r="B22" s="115"/>
      <c r="C22" s="116"/>
      <c r="D22" s="78"/>
      <c r="E22" s="79"/>
      <c r="F22" s="79"/>
      <c r="G22" s="79"/>
      <c r="H22" s="79"/>
      <c r="I22" s="79"/>
    </row>
    <row r="23" spans="1:9">
      <c r="A23" s="117" t="s">
        <v>23</v>
      </c>
      <c r="B23" s="115"/>
      <c r="C23" s="116"/>
      <c r="D23" s="79"/>
      <c r="E23" s="78"/>
      <c r="F23" s="79"/>
      <c r="G23" s="79"/>
      <c r="H23" s="79"/>
      <c r="I23" s="79"/>
    </row>
    <row r="24" spans="1:9" ht="15.75" customHeight="1">
      <c r="A24" s="117" t="s">
        <v>24</v>
      </c>
      <c r="B24" s="115"/>
      <c r="C24" s="116"/>
      <c r="D24" s="79"/>
      <c r="E24" s="78"/>
      <c r="F24" s="79"/>
      <c r="G24" s="79"/>
      <c r="H24" s="79"/>
      <c r="I24" s="79"/>
    </row>
    <row r="25" spans="1:9" ht="15.75" customHeight="1">
      <c r="A25" s="117" t="s">
        <v>25</v>
      </c>
      <c r="B25" s="115"/>
      <c r="C25" s="116"/>
      <c r="D25" s="79"/>
      <c r="E25" s="78"/>
      <c r="F25" s="79"/>
      <c r="G25" s="79"/>
      <c r="H25" s="79"/>
      <c r="I25" s="79"/>
    </row>
    <row r="26" spans="1:9" ht="15.75" customHeight="1">
      <c r="A26" s="117" t="s">
        <v>26</v>
      </c>
      <c r="B26" s="115"/>
      <c r="C26" s="116"/>
      <c r="D26" s="79"/>
      <c r="E26" s="79"/>
      <c r="F26" s="78"/>
      <c r="G26" s="79"/>
      <c r="H26" s="79"/>
      <c r="I26" s="79"/>
    </row>
    <row r="27" spans="1:9" ht="15.75" customHeight="1">
      <c r="A27" s="117" t="s">
        <v>27</v>
      </c>
      <c r="B27" s="115"/>
      <c r="C27" s="116"/>
      <c r="D27" s="79"/>
      <c r="E27" s="79"/>
      <c r="F27" s="78"/>
      <c r="G27" s="79"/>
      <c r="H27" s="79"/>
      <c r="I27" s="79"/>
    </row>
    <row r="28" spans="1:9" ht="15.75" customHeight="1">
      <c r="A28" s="117" t="s">
        <v>28</v>
      </c>
      <c r="B28" s="115"/>
      <c r="C28" s="116"/>
      <c r="D28" s="79"/>
      <c r="E28" s="79"/>
      <c r="F28" s="79"/>
      <c r="G28" s="78"/>
      <c r="H28" s="79"/>
      <c r="I28" s="79"/>
    </row>
    <row r="29" spans="1:9" ht="15.75" customHeight="1">
      <c r="A29" s="117" t="s">
        <v>29</v>
      </c>
      <c r="B29" s="115"/>
      <c r="C29" s="116"/>
      <c r="D29" s="79"/>
      <c r="E29" s="79"/>
      <c r="F29" s="79"/>
      <c r="G29" s="78"/>
      <c r="H29" s="79"/>
      <c r="I29" s="79"/>
    </row>
    <row r="30" spans="1:9" ht="15.75" customHeight="1">
      <c r="A30" s="117" t="s">
        <v>30</v>
      </c>
      <c r="B30" s="115"/>
      <c r="C30" s="116"/>
      <c r="D30" s="79"/>
      <c r="E30" s="79"/>
      <c r="F30" s="79"/>
      <c r="G30" s="78"/>
      <c r="H30" s="79"/>
      <c r="I30" s="79"/>
    </row>
    <row r="31" spans="1:9" ht="15.75" customHeight="1">
      <c r="A31" s="117" t="s">
        <v>31</v>
      </c>
      <c r="B31" s="115"/>
      <c r="C31" s="116"/>
      <c r="D31" s="79"/>
      <c r="E31" s="79"/>
      <c r="F31" s="79"/>
      <c r="G31" s="78"/>
      <c r="H31" s="79"/>
      <c r="I31" s="79"/>
    </row>
    <row r="32" spans="1:9" ht="15.75" customHeight="1">
      <c r="A32" s="117" t="s">
        <v>32</v>
      </c>
      <c r="B32" s="115"/>
      <c r="C32" s="116"/>
      <c r="D32" s="79"/>
      <c r="E32" s="79"/>
      <c r="F32" s="79"/>
      <c r="G32" s="79"/>
      <c r="H32" s="78"/>
      <c r="I32" s="79"/>
    </row>
    <row r="33" spans="1:9" ht="15.75" customHeight="1">
      <c r="A33" s="117" t="s">
        <v>33</v>
      </c>
      <c r="B33" s="115"/>
      <c r="C33" s="116"/>
      <c r="D33" s="79"/>
      <c r="E33" s="79"/>
      <c r="F33" s="79"/>
      <c r="G33" s="79"/>
      <c r="H33" s="78"/>
      <c r="I33" s="79"/>
    </row>
    <row r="34" spans="1:9" ht="15.75" customHeight="1">
      <c r="A34" s="114" t="s">
        <v>114</v>
      </c>
      <c r="B34" s="115"/>
      <c r="C34" s="116"/>
      <c r="D34" s="79"/>
      <c r="E34" s="79"/>
      <c r="F34" s="79"/>
      <c r="G34" s="79"/>
      <c r="H34" s="78"/>
      <c r="I34" s="79"/>
    </row>
    <row r="35" spans="1:9" ht="15.75" customHeight="1">
      <c r="A35" s="117" t="s">
        <v>34</v>
      </c>
      <c r="B35" s="115"/>
      <c r="C35" s="116"/>
      <c r="D35" s="79"/>
      <c r="E35" s="79"/>
      <c r="F35" s="79"/>
      <c r="G35" s="79"/>
      <c r="H35" s="79"/>
      <c r="I35" s="78"/>
    </row>
    <row r="36" spans="1:9" ht="15.75" customHeight="1"/>
    <row r="37" spans="1:9" ht="15.75" customHeight="1"/>
    <row r="38" spans="1:9" ht="15.75" customHeight="1"/>
    <row r="39" spans="1:9" ht="15.75" customHeight="1"/>
    <row r="40" spans="1:9" ht="15.75" customHeight="1"/>
    <row r="41" spans="1:9" ht="15.75" customHeight="1"/>
    <row r="42" spans="1:9" ht="15.75" customHeight="1"/>
    <row r="43" spans="1:9" ht="15.75" customHeight="1"/>
    <row r="44" spans="1:9" ht="15.75" customHeight="1"/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sheetProtection password="CC82" sheet="1" objects="1" scenarios="1" formatCells="0" formatColumns="0" formatRows="0" selectLockedCells="1"/>
  <mergeCells count="37">
    <mergeCell ref="A5:C5"/>
    <mergeCell ref="A6:C6"/>
    <mergeCell ref="A1:I1"/>
    <mergeCell ref="A3:D3"/>
    <mergeCell ref="F3:I3"/>
    <mergeCell ref="A4:C4"/>
    <mergeCell ref="F4:H4"/>
    <mergeCell ref="F8:I8"/>
    <mergeCell ref="F9:H10"/>
    <mergeCell ref="I9:I10"/>
    <mergeCell ref="F11:H11"/>
    <mergeCell ref="F5:H5"/>
    <mergeCell ref="F6:H6"/>
    <mergeCell ref="A19:C19"/>
    <mergeCell ref="A20:C20"/>
    <mergeCell ref="A21:C21"/>
    <mergeCell ref="A17:C18"/>
    <mergeCell ref="A9:D9"/>
    <mergeCell ref="A10:C10"/>
    <mergeCell ref="A11:C11"/>
    <mergeCell ref="A12:C12"/>
    <mergeCell ref="A7:C7"/>
    <mergeCell ref="A34:C34"/>
    <mergeCell ref="A35:C35"/>
    <mergeCell ref="A23:C23"/>
    <mergeCell ref="A24:C24"/>
    <mergeCell ref="A25:C25"/>
    <mergeCell ref="A26:C26"/>
    <mergeCell ref="A27:C27"/>
    <mergeCell ref="A28:C28"/>
    <mergeCell ref="A29:C29"/>
    <mergeCell ref="A22:C22"/>
    <mergeCell ref="A30:C30"/>
    <mergeCell ref="A31:C31"/>
    <mergeCell ref="A32:C32"/>
    <mergeCell ref="A33:C33"/>
    <mergeCell ref="A15:I15"/>
  </mergeCells>
  <phoneticPr fontId="27" type="noConversion"/>
  <dataValidations count="5">
    <dataValidation type="list" allowBlank="1" showErrorMessage="1" sqref="I11">
      <formula1>"1800,2000,2200,2400,2600,2800,3000"</formula1>
    </dataValidation>
    <dataValidation type="list" allowBlank="1" showErrorMessage="1" sqref="I4:I5">
      <formula1>"8,9,10,11,12,13,14,15,16,17,18,19,20,21,22"</formula1>
    </dataValidation>
    <dataValidation type="list" allowBlank="1" showErrorMessage="1" sqref="D11">
      <formula1>"10%,20%,30%,40%,50%,60%,80%,90%,100%"</formula1>
    </dataValidation>
    <dataValidation type="list" allowBlank="1" showErrorMessage="1" sqref="I12">
      <formula1>"1,2,3,4,5,6,7,8,9,10"</formula1>
    </dataValidation>
    <dataValidation type="list" allowBlank="1" showErrorMessage="1" sqref="I9">
      <formula1>"1,2,3,4,5,6"</formula1>
    </dataValidation>
  </dataValidations>
  <printOptions horizontalCentered="1"/>
  <pageMargins left="0.75000000000000011" right="0.75000000000000011" top="1" bottom="1" header="0" footer="0"/>
  <pageSetup scale="60" orientation="landscape"/>
  <extLst>
    <ext xmlns:mx="http://schemas.microsoft.com/office/mac/excel/2008/main" uri="{64002731-A6B0-56B0-2670-7721B7C09600}">
      <mx:PLV Mode="0" OnePage="0" WScale="75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01"/>
  <sheetViews>
    <sheetView workbookViewId="0">
      <selection activeCell="K6" sqref="K6"/>
    </sheetView>
  </sheetViews>
  <sheetFormatPr baseColWidth="10" defaultColWidth="11.1640625" defaultRowHeight="15" customHeight="1" x14ac:dyDescent="0"/>
  <cols>
    <col min="1" max="1" width="23.83203125" customWidth="1"/>
    <col min="2" max="16" width="3.83203125" customWidth="1"/>
    <col min="17" max="17" width="14.5" customWidth="1"/>
    <col min="18" max="27" width="10.5" customWidth="1"/>
  </cols>
  <sheetData>
    <row r="2" spans="1:19" ht="30">
      <c r="A2" s="118" t="s">
        <v>35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19">
      <c r="A3" s="5"/>
    </row>
    <row r="4" spans="1:19">
      <c r="G4" s="143" t="s">
        <v>36</v>
      </c>
      <c r="H4" s="144"/>
    </row>
    <row r="5" spans="1:19">
      <c r="A5" s="6" t="s">
        <v>37</v>
      </c>
      <c r="B5" s="7" t="str">
        <f>IF(AND('1) JE PREPARE'!$I4&lt;=8,'1) JE PREPARE'!$I5&gt;=8),"8h","")</f>
        <v/>
      </c>
      <c r="C5" s="3" t="str">
        <f>IF(AND('1) JE PREPARE'!$I4&lt;=9,'1) JE PREPARE'!$I5&gt;=9),"9h","")</f>
        <v/>
      </c>
      <c r="D5" s="3" t="str">
        <f>IF(AND('1) JE PREPARE'!$I4&lt;=10,'1) JE PREPARE'!$I5&gt;=10),"10h","")</f>
        <v>10h</v>
      </c>
      <c r="E5" s="3" t="str">
        <f>IF(AND('1) JE PREPARE'!$I4&lt;=11,'1) JE PREPARE'!$I5&gt;=11),"11h","")</f>
        <v>11h</v>
      </c>
      <c r="F5" s="3" t="str">
        <f>IF(AND('1) JE PREPARE'!$I4&lt;=12,'1) JE PREPARE'!$I5&gt;=12),"12h","")</f>
        <v>12h</v>
      </c>
      <c r="G5" s="8" t="str">
        <f>IF(AND('1) JE PREPARE'!$I4&lt;=13,'1) JE PREPARE'!$I5&gt;=13),"13h","")</f>
        <v>13h</v>
      </c>
      <c r="H5" s="8" t="str">
        <f>IF(AND('1) JE PREPARE'!$I4&lt;=14,'1) JE PREPARE'!$I5&gt;=14),"14h","")</f>
        <v>14h</v>
      </c>
      <c r="I5" s="3" t="str">
        <f>IF(AND('1) JE PREPARE'!$I4&lt;=15,'1) JE PREPARE'!$I5&gt;=15),"15h","")</f>
        <v>15h</v>
      </c>
      <c r="J5" s="3" t="str">
        <f>IF(AND('1) JE PREPARE'!$I4&lt;=16,'1) JE PREPARE'!$I5&gt;=16),"16h","")</f>
        <v>16h</v>
      </c>
      <c r="K5" s="3" t="str">
        <f>IF(AND('1) JE PREPARE'!$I4&lt;=17,'1) JE PREPARE'!$I5&gt;=17),"17h","")</f>
        <v>17h</v>
      </c>
      <c r="L5" s="3" t="str">
        <f>IF(AND('1) JE PREPARE'!$I4&lt;=18,'1) JE PREPARE'!$I5&gt;=18),"18h","")</f>
        <v>18h</v>
      </c>
      <c r="M5" s="3" t="str">
        <f>IF(AND('1) JE PREPARE'!$I4&lt;=19,'1) JE PREPARE'!$I5&gt;=19),"19h","")</f>
        <v/>
      </c>
      <c r="N5" s="3" t="str">
        <f>IF(AND('1) JE PREPARE'!$I4&lt;=20,'1) JE PREPARE'!$I5&gt;=20),"20h","")</f>
        <v/>
      </c>
      <c r="O5" s="3" t="str">
        <f>IF(AND('1) JE PREPARE'!$I4&lt;=21,'1) JE PREPARE'!$I5&gt;=21),"21h","")</f>
        <v/>
      </c>
      <c r="P5" s="3" t="str">
        <f>IF(AND('1) JE PREPARE'!$I4&lt;=22,'1) JE PREPARE'!$I5&gt;=22),"22h","")</f>
        <v/>
      </c>
      <c r="Q5" s="9" t="s">
        <v>38</v>
      </c>
    </row>
    <row r="6" spans="1:19">
      <c r="A6" s="10" t="str">
        <f>IF('1) JE PREPARE'!I$9&gt;=1,"Roger TROBU","")</f>
        <v>Roger TROBU</v>
      </c>
      <c r="B6" s="79"/>
      <c r="C6" s="79"/>
      <c r="D6" s="91">
        <v>1</v>
      </c>
      <c r="E6" s="91">
        <v>1</v>
      </c>
      <c r="F6" s="92">
        <v>1</v>
      </c>
      <c r="G6" s="93">
        <v>1</v>
      </c>
      <c r="H6" s="94"/>
      <c r="I6" s="95">
        <v>1</v>
      </c>
      <c r="J6" s="91">
        <v>1</v>
      </c>
      <c r="K6" s="79"/>
      <c r="L6" s="79"/>
      <c r="M6" s="79"/>
      <c r="N6" s="79"/>
      <c r="O6" s="79"/>
      <c r="P6" s="79"/>
      <c r="Q6" s="11">
        <f t="shared" ref="Q6:Q11" si="0">IF(SUM(C6:P6)&gt;6,"ILLEGAL",SUM(C6:P6))</f>
        <v>6</v>
      </c>
      <c r="S6" s="12" t="str">
        <f t="shared" ref="S6:S11" si="1">IF(Q6="ILLEGAL","PAS PLUS DE 6H CONSECUTIVES !","")</f>
        <v/>
      </c>
    </row>
    <row r="7" spans="1:19">
      <c r="A7" s="13" t="str">
        <f>IF('1) JE PREPARE'!I$9&gt;=2,"Yvan BOKOU","")</f>
        <v>Yvan BOKOU</v>
      </c>
      <c r="B7" s="78"/>
      <c r="C7" s="78"/>
      <c r="D7" s="78"/>
      <c r="E7" s="73">
        <v>1</v>
      </c>
      <c r="F7" s="96">
        <v>1</v>
      </c>
      <c r="G7" s="97"/>
      <c r="H7" s="98">
        <v>1</v>
      </c>
      <c r="I7" s="99">
        <v>1</v>
      </c>
      <c r="J7" s="73">
        <v>1</v>
      </c>
      <c r="K7" s="73">
        <v>1</v>
      </c>
      <c r="L7" s="78"/>
      <c r="M7" s="78"/>
      <c r="N7" s="78"/>
      <c r="O7" s="78"/>
      <c r="P7" s="78"/>
      <c r="Q7" s="11">
        <f t="shared" si="0"/>
        <v>6</v>
      </c>
      <c r="S7" s="12" t="str">
        <f t="shared" si="1"/>
        <v/>
      </c>
    </row>
    <row r="8" spans="1:19">
      <c r="A8" s="13" t="str">
        <f>IF('1) JE PREPARE'!I$9&gt;=3,"Michel MAIYEUR","")</f>
        <v>Michel MAIYEUR</v>
      </c>
      <c r="B8" s="79"/>
      <c r="C8" s="79"/>
      <c r="D8" s="79"/>
      <c r="E8" s="79"/>
      <c r="F8" s="100"/>
      <c r="G8" s="93">
        <v>1</v>
      </c>
      <c r="H8" s="101">
        <v>1</v>
      </c>
      <c r="I8" s="95">
        <v>1</v>
      </c>
      <c r="J8" s="91">
        <v>1</v>
      </c>
      <c r="K8" s="91">
        <v>1</v>
      </c>
      <c r="L8" s="91">
        <v>1</v>
      </c>
      <c r="M8" s="91"/>
      <c r="N8" s="79"/>
      <c r="O8" s="79"/>
      <c r="P8" s="79"/>
      <c r="Q8" s="11">
        <f t="shared" si="0"/>
        <v>6</v>
      </c>
      <c r="S8" s="12" t="str">
        <f t="shared" si="1"/>
        <v/>
      </c>
    </row>
    <row r="9" spans="1:19">
      <c r="A9" s="13" t="str">
        <f>IF('1) JE PREPARE'!I$9&gt;=4,"Sophie STIQUET","")</f>
        <v/>
      </c>
      <c r="B9" s="78"/>
      <c r="C9" s="78"/>
      <c r="D9" s="78"/>
      <c r="E9" s="78"/>
      <c r="F9" s="102"/>
      <c r="G9" s="97"/>
      <c r="H9" s="103"/>
      <c r="I9" s="104"/>
      <c r="J9" s="78"/>
      <c r="K9" s="78"/>
      <c r="L9" s="78"/>
      <c r="M9" s="78"/>
      <c r="N9" s="78"/>
      <c r="O9" s="78"/>
      <c r="P9" s="78"/>
      <c r="Q9" s="11">
        <f t="shared" si="0"/>
        <v>0</v>
      </c>
      <c r="S9" s="12" t="str">
        <f t="shared" si="1"/>
        <v/>
      </c>
    </row>
    <row r="10" spans="1:19">
      <c r="A10" s="13" t="str">
        <f>IF('1) JE PREPARE'!I$9&gt;=5,"Jean VENTRAUX","")</f>
        <v/>
      </c>
      <c r="B10" s="79"/>
      <c r="C10" s="79"/>
      <c r="D10" s="79"/>
      <c r="E10" s="79"/>
      <c r="F10" s="100"/>
      <c r="G10" s="105"/>
      <c r="H10" s="94"/>
      <c r="I10" s="106"/>
      <c r="J10" s="79"/>
      <c r="K10" s="79"/>
      <c r="L10" s="79"/>
      <c r="M10" s="79"/>
      <c r="N10" s="79"/>
      <c r="O10" s="79"/>
      <c r="P10" s="79"/>
      <c r="Q10" s="11">
        <f t="shared" si="0"/>
        <v>0</v>
      </c>
      <c r="S10" s="12" t="str">
        <f t="shared" si="1"/>
        <v/>
      </c>
    </row>
    <row r="11" spans="1:19">
      <c r="A11" s="13" t="str">
        <f>IF('1) JE PREPARE'!I$9&gt;=6,"Jacques HATTE","")</f>
        <v/>
      </c>
      <c r="B11" s="78"/>
      <c r="C11" s="78"/>
      <c r="D11" s="78"/>
      <c r="E11" s="78"/>
      <c r="F11" s="102"/>
      <c r="G11" s="107"/>
      <c r="H11" s="108"/>
      <c r="I11" s="104"/>
      <c r="J11" s="78"/>
      <c r="K11" s="109"/>
      <c r="L11" s="109"/>
      <c r="M11" s="109"/>
      <c r="N11" s="109"/>
      <c r="O11" s="109"/>
      <c r="P11" s="109"/>
      <c r="Q11" s="14">
        <f t="shared" si="0"/>
        <v>0</v>
      </c>
      <c r="S11" s="12" t="str">
        <f t="shared" si="1"/>
        <v/>
      </c>
    </row>
    <row r="12" spans="1:19">
      <c r="B12" s="15"/>
      <c r="C12" s="15"/>
      <c r="D12" s="15"/>
      <c r="E12" s="15"/>
      <c r="F12" s="15"/>
      <c r="G12" s="15"/>
      <c r="H12" s="15"/>
      <c r="I12" s="15"/>
      <c r="J12" s="15"/>
      <c r="K12" s="145" t="s">
        <v>39</v>
      </c>
      <c r="L12" s="146"/>
      <c r="M12" s="146"/>
      <c r="N12" s="146"/>
      <c r="O12" s="146"/>
      <c r="P12" s="146"/>
      <c r="Q12" s="16">
        <f>SUM(Q6:Q11)</f>
        <v>18</v>
      </c>
    </row>
    <row r="14" spans="1:19">
      <c r="J14" s="147" t="s">
        <v>40</v>
      </c>
      <c r="K14" s="119"/>
      <c r="L14" s="119"/>
      <c r="M14" s="119"/>
      <c r="N14" s="119"/>
      <c r="O14" s="119"/>
      <c r="P14" s="119"/>
      <c r="Q14" s="17">
        <f>'1) JE PREPARE'!I11/151.67</f>
        <v>14.505175710423948</v>
      </c>
    </row>
    <row r="15" spans="1:19" ht="15" customHeight="1">
      <c r="J15" s="18" t="s">
        <v>41</v>
      </c>
    </row>
    <row r="17" spans="1:17" ht="23">
      <c r="A17" s="19" t="s">
        <v>42</v>
      </c>
      <c r="B17" s="148">
        <f>'1) JE PREPARE'!D6</f>
        <v>5</v>
      </c>
      <c r="C17" s="119"/>
      <c r="D17" s="149" t="s">
        <v>43</v>
      </c>
      <c r="E17" s="119"/>
      <c r="F17" s="119"/>
      <c r="G17" s="119"/>
      <c r="H17" s="119"/>
      <c r="I17" s="119"/>
      <c r="J17" s="119"/>
      <c r="K17" s="148">
        <f>Q12*B17</f>
        <v>90</v>
      </c>
      <c r="L17" s="119"/>
      <c r="M17" s="20" t="s">
        <v>44</v>
      </c>
      <c r="N17" s="20"/>
      <c r="O17" s="20"/>
      <c r="P17" s="20"/>
      <c r="Q17" s="21"/>
    </row>
    <row r="22" spans="1:17" ht="15.75" customHeight="1"/>
    <row r="23" spans="1:17" ht="15.75" customHeight="1"/>
    <row r="24" spans="1:17" ht="15.75" customHeight="1"/>
    <row r="25" spans="1:17" ht="15.75" customHeight="1"/>
    <row r="26" spans="1:17" ht="15.75" customHeight="1"/>
    <row r="27" spans="1:17" ht="15.75" customHeight="1"/>
    <row r="28" spans="1:17" ht="15.75" customHeight="1"/>
    <row r="29" spans="1:17" ht="15.75" customHeight="1"/>
    <row r="30" spans="1:17" ht="15.75" customHeight="1"/>
    <row r="31" spans="1:17" ht="15.75" customHeight="1"/>
    <row r="32" spans="1:1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sheetProtection password="CC82" sheet="1" objects="1" scenarios="1" selectLockedCells="1"/>
  <mergeCells count="7">
    <mergeCell ref="A2:Q2"/>
    <mergeCell ref="G4:H4"/>
    <mergeCell ref="K12:P12"/>
    <mergeCell ref="J14:P14"/>
    <mergeCell ref="B17:C17"/>
    <mergeCell ref="D17:J17"/>
    <mergeCell ref="K17:L17"/>
  </mergeCells>
  <phoneticPr fontId="27" type="noConversion"/>
  <conditionalFormatting sqref="B5:P5">
    <cfRule type="notContainsBlanks" dxfId="0" priority="1">
      <formula>LEN(TRIM(B5))&gt;0</formula>
    </cfRule>
  </conditionalFormatting>
  <pageMargins left="0.75" right="0.75" top="1" bottom="1" header="0" footer="0"/>
  <pageSetup orientation="landscape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Z1000"/>
  <sheetViews>
    <sheetView tabSelected="1" workbookViewId="0">
      <selection activeCell="B6" sqref="B6"/>
    </sheetView>
  </sheetViews>
  <sheetFormatPr baseColWidth="10" defaultColWidth="11.1640625" defaultRowHeight="15" customHeight="1" x14ac:dyDescent="0"/>
  <cols>
    <col min="1" max="1" width="25" customWidth="1"/>
    <col min="2" max="2" width="10.5" customWidth="1"/>
    <col min="3" max="3" width="20" customWidth="1"/>
    <col min="4" max="4" width="19.1640625" customWidth="1"/>
    <col min="5" max="5" width="15.33203125" customWidth="1"/>
    <col min="6" max="6" width="10.5" customWidth="1"/>
    <col min="7" max="7" width="29.5" customWidth="1"/>
    <col min="8" max="8" width="17.6640625" customWidth="1"/>
    <col min="9" max="9" width="15.5" customWidth="1"/>
    <col min="10" max="10" width="13.33203125" customWidth="1"/>
    <col min="11" max="11" width="14.1640625" customWidth="1"/>
    <col min="12" max="26" width="10.5" customWidth="1"/>
  </cols>
  <sheetData>
    <row r="2" spans="1:26" ht="45">
      <c r="A2" s="150" t="s">
        <v>45</v>
      </c>
      <c r="B2" s="151"/>
      <c r="C2" s="151"/>
      <c r="D2" s="151"/>
      <c r="E2" s="151"/>
      <c r="F2" s="151"/>
      <c r="G2" s="151"/>
      <c r="H2" s="151"/>
      <c r="I2" s="151"/>
      <c r="J2" s="151"/>
      <c r="K2" s="152"/>
    </row>
    <row r="4" spans="1:26" ht="45">
      <c r="A4" s="22" t="s">
        <v>46</v>
      </c>
      <c r="B4" s="23" t="s">
        <v>47</v>
      </c>
      <c r="C4" s="24" t="s">
        <v>48</v>
      </c>
      <c r="D4" s="24" t="s">
        <v>49</v>
      </c>
      <c r="E4" s="25" t="s">
        <v>50</v>
      </c>
      <c r="F4" s="26"/>
      <c r="G4" s="22" t="s">
        <v>51</v>
      </c>
      <c r="H4" s="25" t="s">
        <v>47</v>
      </c>
      <c r="I4" s="24" t="s">
        <v>48</v>
      </c>
      <c r="J4" s="24" t="s">
        <v>49</v>
      </c>
      <c r="K4" s="25" t="s">
        <v>50</v>
      </c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>
      <c r="A5" s="28" t="s">
        <v>52</v>
      </c>
      <c r="B5" s="29">
        <f>'1) JE PREPARE'!D6</f>
        <v>5</v>
      </c>
      <c r="C5" s="30" t="s">
        <v>53</v>
      </c>
      <c r="D5" s="110">
        <v>800</v>
      </c>
      <c r="E5" s="31">
        <f t="shared" ref="E5:E10" si="0">B5*D5</f>
        <v>4000</v>
      </c>
      <c r="F5" s="32"/>
      <c r="G5" s="33" t="s">
        <v>54</v>
      </c>
      <c r="H5" s="29">
        <f>'1) JE PREPARE'!D12</f>
        <v>120</v>
      </c>
      <c r="I5" s="30" t="s">
        <v>55</v>
      </c>
      <c r="J5" s="110">
        <v>55</v>
      </c>
      <c r="K5" s="31">
        <f t="shared" ref="K5:K10" si="1">H5*J5</f>
        <v>6600</v>
      </c>
    </row>
    <row r="6" spans="1:26" ht="90">
      <c r="A6" s="33" t="s">
        <v>56</v>
      </c>
      <c r="B6" s="111">
        <v>1</v>
      </c>
      <c r="C6" s="30" t="s">
        <v>57</v>
      </c>
      <c r="D6" s="110">
        <v>2800</v>
      </c>
      <c r="E6" s="31">
        <f t="shared" si="0"/>
        <v>2800</v>
      </c>
      <c r="F6" s="32"/>
      <c r="G6" s="33" t="s">
        <v>58</v>
      </c>
      <c r="H6" s="29">
        <f>'1) JE PREPARE'!D12</f>
        <v>120</v>
      </c>
      <c r="I6" s="30" t="s">
        <v>55</v>
      </c>
      <c r="J6" s="110">
        <v>35</v>
      </c>
      <c r="K6" s="31">
        <f t="shared" si="1"/>
        <v>4200</v>
      </c>
    </row>
    <row r="7" spans="1:26" ht="30">
      <c r="A7" s="33" t="s">
        <v>59</v>
      </c>
      <c r="B7" s="29">
        <f>'1) JE PREPARE'!D6</f>
        <v>5</v>
      </c>
      <c r="C7" s="30" t="s">
        <v>60</v>
      </c>
      <c r="D7" s="110">
        <v>65</v>
      </c>
      <c r="E7" s="31">
        <f t="shared" si="0"/>
        <v>325</v>
      </c>
      <c r="F7" s="32"/>
      <c r="G7" s="33" t="s">
        <v>61</v>
      </c>
      <c r="H7" s="29">
        <f>'1) JE PREPARE'!D10</f>
        <v>300</v>
      </c>
      <c r="I7" s="30" t="s">
        <v>62</v>
      </c>
      <c r="J7" s="110">
        <v>1.75</v>
      </c>
      <c r="K7" s="31">
        <f t="shared" si="1"/>
        <v>525</v>
      </c>
    </row>
    <row r="8" spans="1:26" ht="60">
      <c r="A8" s="33" t="s">
        <v>63</v>
      </c>
      <c r="B8" s="29">
        <f>'1) JE PREPARE'!D6</f>
        <v>5</v>
      </c>
      <c r="C8" s="30" t="s">
        <v>64</v>
      </c>
      <c r="D8" s="110">
        <v>120</v>
      </c>
      <c r="E8" s="31">
        <f t="shared" si="0"/>
        <v>600</v>
      </c>
      <c r="F8" s="32"/>
      <c r="G8" s="33" t="s">
        <v>65</v>
      </c>
      <c r="H8" s="111">
        <v>30</v>
      </c>
      <c r="I8" s="34" t="s">
        <v>66</v>
      </c>
      <c r="J8" s="110">
        <v>15</v>
      </c>
      <c r="K8" s="31">
        <f t="shared" si="1"/>
        <v>450</v>
      </c>
    </row>
    <row r="9" spans="1:26" ht="45">
      <c r="A9" s="33" t="s">
        <v>67</v>
      </c>
      <c r="B9" s="29">
        <f>'2) JE PLANNIFIE'!Q12*'1) JE PREPARE'!D6</f>
        <v>90</v>
      </c>
      <c r="C9" s="34" t="s">
        <v>68</v>
      </c>
      <c r="D9" s="35">
        <f>('1) JE PREPARE'!I11/151.67)</f>
        <v>14.505175710423948</v>
      </c>
      <c r="E9" s="31">
        <f t="shared" si="0"/>
        <v>1305.4658139381554</v>
      </c>
      <c r="F9" s="32"/>
      <c r="G9" s="33" t="s">
        <v>69</v>
      </c>
      <c r="H9" s="29">
        <f>'1) JE PREPARE'!D10</f>
        <v>300</v>
      </c>
      <c r="I9" s="30" t="s">
        <v>70</v>
      </c>
      <c r="J9" s="110">
        <v>1.25</v>
      </c>
      <c r="K9" s="31">
        <f t="shared" si="1"/>
        <v>375</v>
      </c>
    </row>
    <row r="10" spans="1:26" ht="60">
      <c r="A10" s="33" t="s">
        <v>71</v>
      </c>
      <c r="B10" s="111">
        <v>1</v>
      </c>
      <c r="C10" s="34" t="s">
        <v>72</v>
      </c>
      <c r="D10" s="110">
        <v>2000</v>
      </c>
      <c r="E10" s="31">
        <f t="shared" si="0"/>
        <v>2000</v>
      </c>
      <c r="F10" s="32"/>
      <c r="G10" s="33"/>
      <c r="H10" s="111"/>
      <c r="I10" s="30"/>
      <c r="J10" s="110"/>
      <c r="K10" s="31">
        <f t="shared" si="1"/>
        <v>0</v>
      </c>
    </row>
    <row r="11" spans="1:26" ht="6.75" customHeight="1"/>
    <row r="12" spans="1:26">
      <c r="D12" s="36" t="s">
        <v>73</v>
      </c>
      <c r="E12" s="37">
        <f>SUM(E5:E10)</f>
        <v>11030.465813938155</v>
      </c>
      <c r="J12" s="36" t="s">
        <v>73</v>
      </c>
      <c r="K12" s="37">
        <f>SUM(K5:K10)</f>
        <v>12150</v>
      </c>
    </row>
    <row r="13" spans="1:26">
      <c r="C13" s="38" t="s">
        <v>74</v>
      </c>
      <c r="D13" s="39" t="s">
        <v>75</v>
      </c>
      <c r="E13" s="40">
        <f>E12-E14</f>
        <v>1838.4109689896923</v>
      </c>
      <c r="I13" s="38" t="s">
        <v>74</v>
      </c>
      <c r="J13" s="39" t="s">
        <v>75</v>
      </c>
      <c r="K13" s="40">
        <f>K12-K14</f>
        <v>2025</v>
      </c>
    </row>
    <row r="14" spans="1:26">
      <c r="C14" s="41" t="s">
        <v>76</v>
      </c>
      <c r="D14" s="42" t="s">
        <v>77</v>
      </c>
      <c r="E14" s="43">
        <f>E12/1.2</f>
        <v>9192.0548449484631</v>
      </c>
      <c r="I14" s="41" t="s">
        <v>76</v>
      </c>
      <c r="J14" s="42" t="s">
        <v>78</v>
      </c>
      <c r="K14" s="43">
        <f>K12/1.2</f>
        <v>10125</v>
      </c>
    </row>
    <row r="15" spans="1:26" ht="24" customHeight="1"/>
    <row r="16" spans="1:26" ht="33">
      <c r="A16" s="44"/>
      <c r="B16" s="153" t="s">
        <v>79</v>
      </c>
      <c r="C16" s="151"/>
      <c r="D16" s="151"/>
      <c r="E16" s="151"/>
      <c r="F16" s="152"/>
      <c r="G16" s="45">
        <f>E14+K14</f>
        <v>19317.054844948463</v>
      </c>
      <c r="H16" s="46" t="s">
        <v>80</v>
      </c>
      <c r="I16" s="47" t="s">
        <v>81</v>
      </c>
      <c r="J16" s="48"/>
      <c r="K16" s="48"/>
    </row>
    <row r="17" spans="1:11" ht="27.75" customHeight="1"/>
    <row r="18" spans="1:11" ht="30">
      <c r="A18" s="22" t="s">
        <v>82</v>
      </c>
      <c r="B18" s="25" t="s">
        <v>47</v>
      </c>
      <c r="C18" s="25" t="s">
        <v>83</v>
      </c>
      <c r="D18" s="25" t="s">
        <v>84</v>
      </c>
      <c r="E18" s="25" t="s">
        <v>85</v>
      </c>
      <c r="G18" s="22" t="s">
        <v>86</v>
      </c>
      <c r="H18" s="25" t="s">
        <v>87</v>
      </c>
    </row>
    <row r="19" spans="1:11">
      <c r="A19" s="33" t="s">
        <v>88</v>
      </c>
      <c r="B19" s="29">
        <f>'1) JE PREPARE'!I12*'1) JE PREPARE'!I9*'1) JE PREPARE'!D6</f>
        <v>90</v>
      </c>
      <c r="C19" s="112">
        <v>0.35</v>
      </c>
      <c r="D19" s="110">
        <v>1250</v>
      </c>
      <c r="E19" s="31">
        <f>B19*D19</f>
        <v>112500</v>
      </c>
      <c r="F19" s="32"/>
      <c r="G19" s="33" t="s">
        <v>89</v>
      </c>
      <c r="H19" s="31">
        <f>E26+K14</f>
        <v>71062.5</v>
      </c>
      <c r="I19" s="49" t="s">
        <v>90</v>
      </c>
    </row>
    <row r="20" spans="1:11">
      <c r="B20" s="32"/>
      <c r="C20" s="32"/>
      <c r="D20" s="32"/>
      <c r="E20" s="32"/>
      <c r="F20" s="32"/>
      <c r="G20" s="33" t="s">
        <v>91</v>
      </c>
      <c r="H20" s="31">
        <f>E22-H19</f>
        <v>22687.5</v>
      </c>
      <c r="I20" s="49" t="s">
        <v>92</v>
      </c>
    </row>
    <row r="21" spans="1:11" ht="15.75" customHeight="1">
      <c r="B21" s="32"/>
      <c r="C21" s="38" t="s">
        <v>74</v>
      </c>
      <c r="D21" s="50" t="s">
        <v>75</v>
      </c>
      <c r="E21" s="51">
        <f>E19-E22</f>
        <v>18750</v>
      </c>
      <c r="F21" s="32"/>
      <c r="G21" s="33" t="s">
        <v>93</v>
      </c>
      <c r="H21" s="52">
        <f>H20/E22</f>
        <v>0.24199999999999999</v>
      </c>
      <c r="I21" s="49" t="s">
        <v>94</v>
      </c>
    </row>
    <row r="22" spans="1:11" ht="15.75" customHeight="1">
      <c r="B22" s="32"/>
      <c r="C22" s="41" t="s">
        <v>76</v>
      </c>
      <c r="D22" s="53" t="s">
        <v>95</v>
      </c>
      <c r="E22" s="54">
        <f>E19/1.2</f>
        <v>93750</v>
      </c>
      <c r="F22" s="32"/>
      <c r="G22" s="55" t="s">
        <v>96</v>
      </c>
      <c r="H22" s="56">
        <f>H20-E14</f>
        <v>13495.445155051537</v>
      </c>
      <c r="I22" s="49" t="s">
        <v>97</v>
      </c>
    </row>
    <row r="23" spans="1:11" ht="15.75" customHeight="1">
      <c r="B23" s="32"/>
      <c r="C23" s="41"/>
      <c r="D23" s="32"/>
      <c r="E23" s="32"/>
      <c r="F23" s="32"/>
      <c r="G23" s="33" t="s">
        <v>98</v>
      </c>
      <c r="H23" s="52">
        <f>H22/E22</f>
        <v>0.14395141498721639</v>
      </c>
      <c r="I23" s="49" t="s">
        <v>99</v>
      </c>
    </row>
    <row r="24" spans="1:11" ht="15.75" customHeight="1">
      <c r="B24" s="32"/>
      <c r="C24" s="41" t="s">
        <v>100</v>
      </c>
      <c r="D24" s="57" t="s">
        <v>101</v>
      </c>
      <c r="E24" s="58">
        <f>E22*C19</f>
        <v>32812.5</v>
      </c>
      <c r="F24" s="32"/>
      <c r="G24" s="33" t="s">
        <v>102</v>
      </c>
      <c r="H24" s="30">
        <f>'1) JE PREPARE'!D6*'1) JE PREPARE'!I6</f>
        <v>40</v>
      </c>
      <c r="I24" s="49"/>
    </row>
    <row r="25" spans="1:11" ht="15.75" customHeight="1">
      <c r="C25" s="38"/>
      <c r="I25" s="49"/>
    </row>
    <row r="26" spans="1:11" ht="15.75" customHeight="1">
      <c r="C26" s="41" t="s">
        <v>103</v>
      </c>
      <c r="D26" s="59" t="s">
        <v>104</v>
      </c>
      <c r="E26" s="60">
        <f>E22-E24</f>
        <v>60937.5</v>
      </c>
      <c r="G26" s="61" t="s">
        <v>105</v>
      </c>
      <c r="H26" s="62">
        <f>(E14*E22)/H20</f>
        <v>37983.697706398612</v>
      </c>
      <c r="I26" s="49" t="s">
        <v>106</v>
      </c>
    </row>
    <row r="27" spans="1:11" ht="15.75" customHeight="1">
      <c r="G27" s="63" t="s">
        <v>107</v>
      </c>
      <c r="H27" s="64">
        <f>(H26/E22)*H24</f>
        <v>16.206377688063405</v>
      </c>
      <c r="I27" s="49" t="s">
        <v>108</v>
      </c>
    </row>
    <row r="28" spans="1:11" ht="15.75" customHeight="1">
      <c r="G28" s="42" t="s">
        <v>109</v>
      </c>
      <c r="H28" s="65">
        <f>ROUNDUP((H26/E22)*B19,0)</f>
        <v>37</v>
      </c>
      <c r="I28" s="49" t="s">
        <v>110</v>
      </c>
    </row>
    <row r="29" spans="1:11" ht="28.5" customHeight="1"/>
    <row r="30" spans="1:11" ht="39" customHeight="1">
      <c r="A30" s="154">
        <f>H22</f>
        <v>13495.445155051537</v>
      </c>
      <c r="B30" s="152"/>
      <c r="C30" s="155" t="s">
        <v>111</v>
      </c>
      <c r="D30" s="151"/>
      <c r="E30" s="151"/>
      <c r="F30" s="152"/>
      <c r="G30" s="45">
        <f>E19</f>
        <v>112500</v>
      </c>
      <c r="H30" s="66" t="s">
        <v>112</v>
      </c>
      <c r="I30" s="67">
        <f>H28</f>
        <v>37</v>
      </c>
      <c r="J30" s="68" t="s">
        <v>113</v>
      </c>
      <c r="K30" s="46"/>
    </row>
    <row r="31" spans="1:11" ht="15.75" customHeight="1">
      <c r="H31" s="69"/>
      <c r="I31" s="70"/>
      <c r="J31" s="71"/>
    </row>
    <row r="32" spans="1:11" ht="15.75" customHeight="1">
      <c r="E32" s="71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password="CC82" sheet="1" objects="1" scenarios="1" selectLockedCells="1"/>
  <mergeCells count="4">
    <mergeCell ref="A2:K2"/>
    <mergeCell ref="B16:F16"/>
    <mergeCell ref="A30:B30"/>
    <mergeCell ref="C30:F30"/>
  </mergeCells>
  <phoneticPr fontId="27" type="noConversion"/>
  <printOptions horizontalCentered="1" verticalCentered="1"/>
  <pageMargins left="0.19685039370078741" right="0.19685039370078741" top="0.39370078740157483" bottom="0.39370078740157483" header="0" footer="0"/>
  <pageSetup paperSize="9" scale="65" orientation="landscape"/>
  <extLst>
    <ext xmlns:mx="http://schemas.microsoft.com/office/mac/excel/2008/main" uri="{64002731-A6B0-56B0-2670-7721B7C09600}">
      <mx:PLV Mode="0" OnePage="0" WScale="3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1) JE PREPARE</vt:lpstr>
      <vt:lpstr>2) JE PLANNIFIE</vt:lpstr>
      <vt:lpstr>3) JE BUDGETISE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Hervé HOUBART</cp:lastModifiedBy>
  <cp:lastPrinted>2023-03-08T17:50:57Z</cp:lastPrinted>
  <dcterms:created xsi:type="dcterms:W3CDTF">2023-03-07T23:55:15Z</dcterms:created>
  <dcterms:modified xsi:type="dcterms:W3CDTF">2023-03-08T18:16:48Z</dcterms:modified>
</cp:coreProperties>
</file>